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psi/Documents/Oleg-Schule/Desktop-oleg/Jg9-Laufbahnberatung_2024/"/>
    </mc:Choice>
  </mc:AlternateContent>
  <xr:revisionPtr revIDLastSave="0" documentId="13_ncr:1_{391B8182-F355-4E47-88A7-5332C76BEBD9}" xr6:coauthVersionLast="47" xr6:coauthVersionMax="47" xr10:uidLastSave="{00000000-0000-0000-0000-000000000000}"/>
  <bookViews>
    <workbookView xWindow="7140" yWindow="2300" windowWidth="28660" windowHeight="18480" xr2:uid="{423FD039-20C1-9A42-BC7A-27B480C5CB58}"/>
  </bookViews>
  <sheets>
    <sheet name="Laufbahnberattung-Jg9" sheetId="1" r:id="rId1"/>
  </sheets>
  <definedNames>
    <definedName name="_xlnm.Print_Area" localSheetId="0">'Laufbahnberattung-Jg9'!$A$1:$H$49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N11" i="1"/>
  <c r="D21" i="1"/>
  <c r="D20" i="1"/>
  <c r="D19" i="1"/>
  <c r="D18" i="1"/>
  <c r="D17" i="1"/>
  <c r="D16" i="1"/>
  <c r="D15" i="1"/>
  <c r="D14" i="1"/>
  <c r="D11" i="1"/>
  <c r="D10" i="1"/>
  <c r="D9" i="1"/>
  <c r="D8" i="1"/>
  <c r="D7" i="1"/>
  <c r="D6" i="1"/>
  <c r="E14" i="1"/>
  <c r="G14" i="1" s="1"/>
  <c r="E20" i="1"/>
  <c r="G20" i="1" s="1"/>
  <c r="N6" i="1"/>
  <c r="L11" i="1"/>
  <c r="N10" i="1"/>
  <c r="N9" i="1"/>
  <c r="N8" i="1"/>
  <c r="N7" i="1"/>
  <c r="M6" i="1"/>
  <c r="G24" i="1"/>
  <c r="I24" i="1" s="1"/>
  <c r="L10" i="1"/>
  <c r="L9" i="1"/>
  <c r="L8" i="1"/>
  <c r="L7" i="1"/>
  <c r="L6" i="1"/>
  <c r="K6" i="1"/>
  <c r="E30" i="1"/>
  <c r="G30" i="1" s="1"/>
  <c r="H30" i="1" s="1"/>
  <c r="E19" i="1"/>
  <c r="M10" i="1"/>
  <c r="M9" i="1"/>
  <c r="M8" i="1"/>
  <c r="M7" i="1"/>
  <c r="E27" i="1"/>
  <c r="G27" i="1" s="1"/>
  <c r="H27" i="1" s="1"/>
  <c r="E17" i="1"/>
  <c r="G17" i="1" s="1"/>
  <c r="K11" i="1"/>
  <c r="K10" i="1"/>
  <c r="K9" i="1"/>
  <c r="K8" i="1"/>
  <c r="K7" i="1"/>
  <c r="G19" i="1"/>
  <c r="G7" i="1"/>
  <c r="I7" i="1" s="1"/>
  <c r="C24" i="1"/>
  <c r="G26" i="1" s="1"/>
  <c r="I26" i="1" s="1"/>
  <c r="C23" i="1"/>
  <c r="G15" i="1" s="1"/>
  <c r="I15" i="1" s="1"/>
  <c r="E28" i="1" l="1"/>
  <c r="G28" i="1" s="1"/>
  <c r="H28" i="1" s="1"/>
  <c r="E31" i="1"/>
  <c r="G31" i="1" s="1"/>
  <c r="H20" i="1"/>
  <c r="H26" i="1"/>
  <c r="E29" i="1"/>
  <c r="G29" i="1" s="1"/>
  <c r="H29" i="1" s="1"/>
  <c r="G16" i="1"/>
  <c r="I16" i="1" s="1"/>
  <c r="G11" i="1"/>
  <c r="I11" i="1" s="1"/>
  <c r="H19" i="1"/>
  <c r="E18" i="1"/>
  <c r="E21" i="1" s="1"/>
  <c r="G21" i="1" s="1"/>
  <c r="H21" i="1" s="1"/>
  <c r="G25" i="1"/>
  <c r="G10" i="1"/>
  <c r="I10" i="1" s="1"/>
  <c r="H17" i="1"/>
  <c r="H15" i="1"/>
  <c r="E32" i="1" l="1"/>
  <c r="G32" i="1" s="1"/>
  <c r="H32" i="1" s="1"/>
  <c r="H31" i="1"/>
  <c r="I25" i="1"/>
  <c r="H25" i="1"/>
  <c r="G18" i="1"/>
  <c r="H16" i="1"/>
  <c r="I14" i="1"/>
  <c r="I32" i="1" l="1"/>
  <c r="I21" i="1"/>
  <c r="G6" i="1"/>
  <c r="I6" i="1" s="1"/>
  <c r="G5" i="1"/>
  <c r="I5" i="1" s="1"/>
  <c r="I9" i="1" l="1"/>
  <c r="H9" i="1" s="1"/>
  <c r="I13" i="1"/>
  <c r="H13" i="1" s="1"/>
  <c r="I23" i="1"/>
  <c r="H18" i="1"/>
  <c r="G9" i="1" l="1"/>
  <c r="G13" i="1"/>
  <c r="G23" i="1"/>
  <c r="H23" i="1"/>
</calcChain>
</file>

<file path=xl/sharedStrings.xml><?xml version="1.0" encoding="utf-8"?>
<sst xmlns="http://schemas.openxmlformats.org/spreadsheetml/2006/main" count="95" uniqueCount="70">
  <si>
    <t>Fächergruppe 1</t>
  </si>
  <si>
    <t>Deutsch</t>
  </si>
  <si>
    <t>Englisch</t>
  </si>
  <si>
    <t>Mathematik</t>
  </si>
  <si>
    <t>Chemie</t>
  </si>
  <si>
    <t>E</t>
  </si>
  <si>
    <t>G</t>
  </si>
  <si>
    <t>Fächergruppe 2</t>
  </si>
  <si>
    <t>Biologie</t>
  </si>
  <si>
    <t>WAT</t>
  </si>
  <si>
    <t>Gewi</t>
  </si>
  <si>
    <t>LER</t>
  </si>
  <si>
    <t>Musik</t>
  </si>
  <si>
    <t>Kunst</t>
  </si>
  <si>
    <t>Sport</t>
  </si>
  <si>
    <t>Punkte</t>
  </si>
  <si>
    <t>Note</t>
  </si>
  <si>
    <t>Prz</t>
  </si>
  <si>
    <t>Pkt</t>
  </si>
  <si>
    <t>EG</t>
  </si>
  <si>
    <t>FOR</t>
  </si>
  <si>
    <t>Physik</t>
  </si>
  <si>
    <t>Mindestens 64 Punkte in allen Fächern:</t>
  </si>
  <si>
    <t>Mindestens 34 Punkte in Fächergruppe 2:</t>
  </si>
  <si>
    <t>In Deutsch oder Mathematik mindestens 5 Punkte:</t>
  </si>
  <si>
    <t>Mindestens zwei E-Kurse:</t>
  </si>
  <si>
    <t>Mindestens 90 Punkte in allen Fächern:</t>
  </si>
  <si>
    <t>Mindestens 48 Punkte in Fächergruppe 2:</t>
  </si>
  <si>
    <t>Maximal zwei Ausfälle:</t>
  </si>
  <si>
    <t>Mindestens drei E-Kurse (zwei aus Ma, De, En):</t>
  </si>
  <si>
    <t>Mindestens 120 Punkte in allen Fächern:</t>
  </si>
  <si>
    <t>Mindestens 64 Punkte in Fächergruppe 2:</t>
  </si>
  <si>
    <t>Mindestens einmal 11 Punkte in einem E-Kurs:</t>
  </si>
  <si>
    <t>Mindestens 4 Punkte in Fächer der FG 2:</t>
  </si>
  <si>
    <t>Mindestens 9 Punkte in Fächern der FG 1:</t>
  </si>
  <si>
    <t>Mindestens 7 Punkte in Fächern der FG 1:</t>
  </si>
  <si>
    <t>Mindestens 2mal 7 Punkte in Fächern der FG 2:</t>
  </si>
  <si>
    <t>Keine Note 6</t>
  </si>
  <si>
    <t>Maximal zweimal Note 5:</t>
  </si>
  <si>
    <t>Punktzahl alle Fächer:</t>
  </si>
  <si>
    <t>Punktzahl Fächergruppe 2:</t>
  </si>
  <si>
    <t>Mindestens 4 Punkte in Fächern der FG 2.</t>
  </si>
  <si>
    <t>Mind. je 4 Punkte, wenn unter 7 Punkte in FG1:</t>
  </si>
  <si>
    <t>"4&amp;7"</t>
  </si>
  <si>
    <t>Anforderungen an den EBR erfüllt?</t>
  </si>
  <si>
    <t>Anforderungen an den FOR erfüllt?</t>
  </si>
  <si>
    <t>Alle Anforderungen an den FORQ erfüllt:</t>
  </si>
  <si>
    <t>"4&amp;9"</t>
  </si>
  <si>
    <t>E11</t>
  </si>
  <si>
    <t>Mind. je 4 Punkte, wenn unter 9 Punkte in FG1:</t>
  </si>
  <si>
    <t>Q</t>
  </si>
  <si>
    <t>"-1"</t>
  </si>
  <si>
    <t>Insgesamt maximal zwei Ausfälle:</t>
  </si>
  <si>
    <t>Alle E &lt;11: einmal E &lt; 9 als kein Ausfall berücksichtigt:</t>
  </si>
  <si>
    <t>Name</t>
  </si>
  <si>
    <t>Lerngruppe</t>
  </si>
  <si>
    <t>Zielvereinbarungen:</t>
  </si>
  <si>
    <t>Unterschrift Schüler/in:</t>
  </si>
  <si>
    <t>Unterschrift Erziehungsberechtigte/r:</t>
  </si>
  <si>
    <t>Unterschrift LGL:</t>
  </si>
  <si>
    <t>Datum:</t>
  </si>
  <si>
    <t>Übergreifende Anforderungen (für alle Abschlüsse gleich).</t>
  </si>
  <si>
    <t>Laufbahnberatung in Jahrgang 9 am Schulzentrum am Stern, Potsdam</t>
  </si>
  <si>
    <t>Schwerpunkt/Spanisch (WP2)</t>
  </si>
  <si>
    <t>Wahlpflicht ab Jg. 7</t>
  </si>
  <si>
    <t>Bitte die hell hinterlegten Felder ausfüllen.</t>
  </si>
  <si>
    <t>Hinweise stehen rechts neben den Anforderungen.</t>
  </si>
  <si>
    <t>Angestrebter Abschluss:</t>
  </si>
  <si>
    <t>Kurswechsel</t>
  </si>
  <si>
    <t>Hinweis: In Halbjahr 9 gibt es noch Fächer ohne Note, daher: Musiknote gleich Kunstnote setzen, bei Nawi-Fächern analog vorgehen.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</si>
</sst>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[$-407]0%"/>
    <numFmt numFmtId="166" formatCode="0.000"/>
  </numFmts>
  <fonts count="36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2"/>
      <name val="SimSun"/>
      <charset val="134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i/>
      <sz val="20"/>
      <color rgb="FF00B0F0"/>
      <name val="Calibri"/>
      <family val="2"/>
      <scheme val="minor"/>
    </font>
    <font>
      <i/>
      <sz val="14"/>
      <color rgb="FF00B0F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6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AA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>
      <alignment vertical="center"/>
    </xf>
    <xf numFmtId="0" fontId="4" fillId="0" borderId="0">
      <alignment vertical="center"/>
    </xf>
  </cellStyleXfs>
  <cellXfs count="129">
    <xf numFmtId="0" fontId="0" fillId="0" borderId="0" xfId="0"/>
    <xf numFmtId="0" fontId="2" fillId="0" borderId="0" xfId="0" applyFont="1"/>
    <xf numFmtId="0" fontId="1" fillId="3" borderId="2" xfId="0" applyFont="1" applyFill="1" applyBorder="1"/>
    <xf numFmtId="0" fontId="2" fillId="3" borderId="6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9" borderId="13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/>
    <xf numFmtId="0" fontId="5" fillId="9" borderId="1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" fillId="12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2" borderId="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0" xfId="0" applyFont="1"/>
    <xf numFmtId="0" fontId="2" fillId="0" borderId="8" xfId="0" applyFont="1" applyBorder="1"/>
    <xf numFmtId="0" fontId="5" fillId="0" borderId="0" xfId="0" applyFont="1"/>
    <xf numFmtId="0" fontId="2" fillId="14" borderId="0" xfId="0" applyFont="1" applyFill="1"/>
    <xf numFmtId="0" fontId="11" fillId="14" borderId="0" xfId="0" applyFont="1" applyFill="1"/>
    <xf numFmtId="0" fontId="7" fillId="14" borderId="0" xfId="0" applyFont="1" applyFill="1"/>
    <xf numFmtId="0" fontId="7" fillId="14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left" vertical="center"/>
    </xf>
    <xf numFmtId="0" fontId="7" fillId="14" borderId="0" xfId="0" applyFont="1" applyFill="1" applyAlignment="1">
      <alignment horizontal="left" vertical="center"/>
    </xf>
    <xf numFmtId="0" fontId="23" fillId="0" borderId="0" xfId="0" applyFont="1" applyAlignment="1">
      <alignment vertical="top"/>
    </xf>
    <xf numFmtId="0" fontId="0" fillId="0" borderId="0" xfId="0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9" fillId="0" borderId="0" xfId="0" applyFont="1"/>
    <xf numFmtId="164" fontId="11" fillId="0" borderId="0" xfId="1" applyFont="1" applyAlignment="1">
      <alignment horizontal="center" vertical="center"/>
    </xf>
    <xf numFmtId="165" fontId="11" fillId="0" borderId="0" xfId="1" applyNumberFormat="1" applyFont="1" applyAlignment="1">
      <alignment horizontal="left" vertical="top"/>
    </xf>
    <xf numFmtId="166" fontId="11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8" fillId="11" borderId="13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left" vertical="center"/>
    </xf>
    <xf numFmtId="0" fontId="10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0" fillId="10" borderId="22" xfId="0" applyFill="1" applyBorder="1" applyAlignment="1">
      <alignment vertical="center"/>
    </xf>
    <xf numFmtId="0" fontId="7" fillId="10" borderId="14" xfId="0" applyFont="1" applyFill="1" applyBorder="1" applyAlignment="1">
      <alignment vertical="center"/>
    </xf>
    <xf numFmtId="0" fontId="7" fillId="10" borderId="9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8" borderId="18" xfId="0" applyFont="1" applyFill="1" applyBorder="1"/>
    <xf numFmtId="0" fontId="7" fillId="8" borderId="19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left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center" vertical="center"/>
    </xf>
    <xf numFmtId="0" fontId="8" fillId="15" borderId="13" xfId="0" applyFont="1" applyFill="1" applyBorder="1"/>
    <xf numFmtId="0" fontId="7" fillId="15" borderId="5" xfId="0" applyFont="1" applyFill="1" applyBorder="1" applyAlignment="1">
      <alignment horizontal="center" vertical="center"/>
    </xf>
    <xf numFmtId="0" fontId="1" fillId="4" borderId="26" xfId="0" applyFont="1" applyFill="1" applyBorder="1"/>
    <xf numFmtId="0" fontId="2" fillId="4" borderId="16" xfId="0" applyFont="1" applyFill="1" applyBorder="1"/>
    <xf numFmtId="0" fontId="2" fillId="4" borderId="24" xfId="0" applyFont="1" applyFill="1" applyBorder="1"/>
    <xf numFmtId="0" fontId="1" fillId="4" borderId="27" xfId="0" applyFont="1" applyFill="1" applyBorder="1" applyAlignment="1">
      <alignment horizontal="center" vertical="center"/>
    </xf>
    <xf numFmtId="0" fontId="2" fillId="13" borderId="15" xfId="0" applyFont="1" applyFill="1" applyBorder="1" applyAlignment="1" applyProtection="1">
      <alignment horizontal="center" vertical="center"/>
      <protection locked="0"/>
    </xf>
    <xf numFmtId="0" fontId="2" fillId="13" borderId="25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/>
    <xf numFmtId="0" fontId="2" fillId="4" borderId="4" xfId="0" applyFont="1" applyFill="1" applyBorder="1"/>
    <xf numFmtId="0" fontId="2" fillId="4" borderId="29" xfId="0" applyFont="1" applyFill="1" applyBorder="1"/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5" fillId="4" borderId="16" xfId="0" applyFont="1" applyFill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31" fillId="13" borderId="0" xfId="0" applyFont="1" applyFill="1" applyAlignment="1" applyProtection="1">
      <alignment horizontal="left" vertical="center"/>
      <protection locked="0"/>
    </xf>
    <xf numFmtId="0" fontId="32" fillId="2" borderId="0" xfId="0" applyFont="1" applyFill="1"/>
    <xf numFmtId="0" fontId="31" fillId="2" borderId="31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23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35" fillId="16" borderId="32" xfId="0" applyFont="1" applyFill="1" applyBorder="1" applyAlignment="1">
      <alignment horizontal="left" vertical="center" wrapText="1"/>
    </xf>
  </cellXfs>
  <cellStyles count="3">
    <cellStyle name="Excel Built-in Normal" xfId="1" xr:uid="{26063692-B7A3-C34A-BD5C-CF16B999058E}"/>
    <cellStyle name="Standard" xfId="0" builtinId="0"/>
    <cellStyle name="Standard 6" xfId="2" xr:uid="{32ECFEDB-7C68-F743-99BE-496008F66519}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DAAE7"/>
      <color rgb="FFF8C6C1"/>
      <color rgb="FFF18160"/>
      <color rgb="FF59C6F2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1063603</xdr:colOff>
      <xdr:row>39</xdr:row>
      <xdr:rowOff>0</xdr:rowOff>
    </xdr:from>
    <xdr:to>
      <xdr:col>7</xdr:col>
      <xdr:colOff>1524002</xdr:colOff>
      <xdr:row>48</xdr:row>
      <xdr:rowOff>105833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BB1C8F-D238-FE20-8E74-B0BD67B18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62603" y="11514667"/>
          <a:ext cx="4990066" cy="315383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38</xdr:row>
      <xdr:rowOff>253998</xdr:rowOff>
    </xdr:from>
    <xdr:to>
      <xdr:col>5</xdr:col>
      <xdr:colOff>788959</xdr:colOff>
      <xdr:row>48</xdr:row>
      <xdr:rowOff>190498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908F1F-1956-220B-E622-93A7C6BF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1429998"/>
          <a:ext cx="5360959" cy="332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DC9B-633C-9D4D-9959-2341B27B306E}">
  <dimension ref="A1:X49"/>
  <sheetViews>
    <sheetView showGridLines="0" tabSelected="1" zoomScaleNormal="100" workbookViewId="0">
      <selection activeCell="C14" sqref="C14"/>
    </sheetView>
  </sheetViews>
  <sheetFormatPr baseColWidth="10" defaultColWidth="27.1640625" defaultRowHeight="26" x14ac:dyDescent="0.3"/>
  <cols>
    <col min="1" max="1" width="24" style="1" customWidth="1"/>
    <col min="2" max="2" width="9.6640625" style="1" customWidth="1"/>
    <col min="3" max="4" width="11.6640625" style="1" customWidth="1"/>
    <col min="5" max="5" width="4.83203125" style="15" customWidth="1"/>
    <col min="6" max="6" width="49.83203125" style="12" customWidth="1"/>
    <col min="7" max="7" width="9.83203125" style="14" customWidth="1"/>
    <col min="8" max="8" width="21" style="17" customWidth="1"/>
    <col min="9" max="9" width="4" style="50" bestFit="1" customWidth="1"/>
    <col min="10" max="10" width="2.1640625" style="50" customWidth="1"/>
    <col min="11" max="12" width="3.1640625" style="51" bestFit="1" customWidth="1"/>
    <col min="13" max="14" width="2.33203125" style="51" bestFit="1" customWidth="1"/>
    <col min="15" max="15" width="6.6640625" style="52" customWidth="1"/>
    <col min="16" max="16" width="3.83203125" style="53" bestFit="1" customWidth="1"/>
    <col min="17" max="17" width="2.6640625" style="53" bestFit="1" customWidth="1"/>
    <col min="18" max="18" width="3.5" style="32" bestFit="1" customWidth="1"/>
    <col min="19" max="19" width="3.83203125" style="32" bestFit="1" customWidth="1"/>
    <col min="20" max="20" width="2.6640625" style="32" bestFit="1" customWidth="1"/>
    <col min="21" max="21" width="3.5" style="32" bestFit="1" customWidth="1"/>
    <col min="22" max="22" width="3.1640625" style="32" bestFit="1" customWidth="1"/>
    <col min="23" max="23" width="2.6640625" style="32" bestFit="1" customWidth="1"/>
    <col min="24" max="24" width="3.5" style="32" bestFit="1" customWidth="1"/>
    <col min="25" max="16384" width="27.1640625" style="1"/>
  </cols>
  <sheetData>
    <row r="1" spans="1:24" x14ac:dyDescent="0.3">
      <c r="A1" s="38" t="s">
        <v>62</v>
      </c>
      <c r="B1" s="28"/>
      <c r="C1" s="28"/>
      <c r="D1" s="28"/>
      <c r="E1" s="31"/>
      <c r="F1" s="29"/>
      <c r="G1" s="30"/>
      <c r="I1" s="54"/>
      <c r="J1" s="54"/>
      <c r="K1" s="55"/>
      <c r="L1" s="55"/>
      <c r="M1" s="55"/>
      <c r="N1" s="55"/>
      <c r="O1" s="56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3">
      <c r="A2" s="36" t="s">
        <v>54</v>
      </c>
      <c r="B2" s="119"/>
      <c r="C2" s="119"/>
      <c r="D2" s="119"/>
      <c r="E2" s="119"/>
      <c r="F2" s="119"/>
      <c r="G2" s="119"/>
      <c r="I2" s="54"/>
      <c r="J2" s="54"/>
      <c r="K2" s="55"/>
      <c r="L2" s="55"/>
      <c r="M2" s="55"/>
      <c r="N2" s="55"/>
      <c r="O2" s="56"/>
      <c r="P2" s="15"/>
      <c r="Q2" s="15"/>
      <c r="R2" s="15"/>
      <c r="S2" s="15"/>
      <c r="T2" s="15"/>
      <c r="U2" s="15"/>
      <c r="V2" s="15"/>
      <c r="W2" s="15"/>
      <c r="X2" s="15"/>
    </row>
    <row r="3" spans="1:24" ht="27" thickBot="1" x14ac:dyDescent="0.35">
      <c r="A3" s="37" t="s">
        <v>55</v>
      </c>
      <c r="B3" s="119"/>
      <c r="C3" s="119"/>
      <c r="D3" s="119"/>
      <c r="E3" s="123"/>
      <c r="F3" s="124"/>
      <c r="G3" s="125"/>
      <c r="I3" s="54"/>
      <c r="J3" s="54"/>
      <c r="K3" s="55"/>
      <c r="L3" s="55"/>
      <c r="M3" s="55"/>
      <c r="N3" s="55"/>
      <c r="O3" s="56"/>
      <c r="P3" s="15"/>
      <c r="Q3" s="15"/>
      <c r="R3" s="15"/>
      <c r="S3" s="15"/>
      <c r="T3" s="15"/>
      <c r="U3" s="15"/>
      <c r="V3" s="15"/>
      <c r="W3" s="15"/>
      <c r="X3" s="15"/>
    </row>
    <row r="4" spans="1:24" ht="27" thickBot="1" x14ac:dyDescent="0.35">
      <c r="A4" s="112" t="s">
        <v>65</v>
      </c>
      <c r="B4" s="39"/>
      <c r="C4" s="39"/>
      <c r="D4" s="39"/>
      <c r="F4" s="101" t="s">
        <v>61</v>
      </c>
      <c r="G4" s="102"/>
      <c r="I4" s="54"/>
      <c r="J4" s="54"/>
      <c r="K4" s="55" t="s">
        <v>20</v>
      </c>
      <c r="L4" s="55" t="s">
        <v>50</v>
      </c>
      <c r="M4" s="55" t="s">
        <v>50</v>
      </c>
      <c r="N4" s="55" t="s">
        <v>50</v>
      </c>
      <c r="O4" s="56"/>
      <c r="P4" s="57" t="s">
        <v>17</v>
      </c>
      <c r="Q4" s="58" t="s">
        <v>18</v>
      </c>
      <c r="R4" s="57" t="s">
        <v>16</v>
      </c>
      <c r="S4" s="57" t="s">
        <v>17</v>
      </c>
      <c r="T4" s="57" t="s">
        <v>18</v>
      </c>
      <c r="U4" s="57" t="s">
        <v>16</v>
      </c>
      <c r="V4" s="57" t="s">
        <v>17</v>
      </c>
      <c r="W4" s="58" t="s">
        <v>18</v>
      </c>
      <c r="X4" s="57" t="s">
        <v>16</v>
      </c>
    </row>
    <row r="5" spans="1:24" x14ac:dyDescent="0.3">
      <c r="A5" s="2" t="s">
        <v>0</v>
      </c>
      <c r="B5" s="4" t="s">
        <v>19</v>
      </c>
      <c r="C5" s="5" t="s">
        <v>15</v>
      </c>
      <c r="D5" s="10" t="s">
        <v>16</v>
      </c>
      <c r="F5" s="95" t="s">
        <v>37</v>
      </c>
      <c r="G5" s="96" t="str">
        <f>IF(COUNTIF($D$6:$D$21,"6")&gt;0,"Nein","Ja")</f>
        <v>Ja</v>
      </c>
      <c r="I5" s="54">
        <f>IF(G5="Ja",0,1)</f>
        <v>0</v>
      </c>
      <c r="J5" s="54"/>
      <c r="K5" s="55" t="s">
        <v>43</v>
      </c>
      <c r="L5" s="55" t="s">
        <v>47</v>
      </c>
      <c r="M5" s="55" t="s">
        <v>48</v>
      </c>
      <c r="N5" s="55" t="s">
        <v>51</v>
      </c>
      <c r="O5" s="56"/>
      <c r="P5" s="57" t="s">
        <v>5</v>
      </c>
      <c r="Q5" s="57" t="s">
        <v>5</v>
      </c>
      <c r="R5" s="57" t="s">
        <v>5</v>
      </c>
      <c r="S5" s="57" t="s">
        <v>6</v>
      </c>
      <c r="T5" s="57" t="s">
        <v>6</v>
      </c>
      <c r="U5" s="57" t="s">
        <v>6</v>
      </c>
      <c r="V5" s="57" t="s">
        <v>19</v>
      </c>
      <c r="W5" s="57" t="s">
        <v>19</v>
      </c>
      <c r="X5" s="57" t="s">
        <v>19</v>
      </c>
    </row>
    <row r="6" spans="1:24" x14ac:dyDescent="0.3">
      <c r="A6" s="3" t="s">
        <v>1</v>
      </c>
      <c r="B6" s="33" t="s">
        <v>6</v>
      </c>
      <c r="C6" s="34">
        <v>5</v>
      </c>
      <c r="D6" s="6">
        <f>IF(B6="E",VLOOKUP(C6,$Q$6:$R$24,2),VLOOKUP(C6,$T$6:$U$24,2))</f>
        <v>4</v>
      </c>
      <c r="F6" s="97" t="s">
        <v>38</v>
      </c>
      <c r="G6" s="98" t="str">
        <f>IF(COUNTIF($D$6:$D$21,"5")&gt;2,"Nein","Ja")</f>
        <v>Ja</v>
      </c>
      <c r="I6" s="54">
        <f>IF(G6="Ja",0,1)</f>
        <v>0</v>
      </c>
      <c r="J6" s="54"/>
      <c r="K6" s="55">
        <f t="shared" ref="K6:K11" si="0">IF(AND(C6&lt;7,C6&lt;4),1,0)</f>
        <v>0</v>
      </c>
      <c r="L6" s="55">
        <f t="shared" ref="L6:L11" si="1">IF(AND(C6&lt;9,C6&lt;4),1,0)</f>
        <v>0</v>
      </c>
      <c r="M6" s="55">
        <f t="shared" ref="M6:M11" si="2">IF(AND(B6="E",C6&gt;10),1,0)</f>
        <v>0</v>
      </c>
      <c r="N6" s="55">
        <f t="shared" ref="N6:N11" si="3">IF(AND(B6="E",C6&lt;9),1,0)</f>
        <v>0</v>
      </c>
      <c r="O6" s="56"/>
      <c r="P6" s="59">
        <v>0</v>
      </c>
      <c r="Q6" s="60">
        <v>0</v>
      </c>
      <c r="R6" s="60">
        <v>6</v>
      </c>
      <c r="S6" s="59">
        <v>0</v>
      </c>
      <c r="T6" s="60">
        <v>0</v>
      </c>
      <c r="U6" s="60">
        <v>6</v>
      </c>
      <c r="V6" s="61">
        <v>0</v>
      </c>
      <c r="W6" s="60">
        <v>0</v>
      </c>
      <c r="X6" s="60">
        <v>6</v>
      </c>
    </row>
    <row r="7" spans="1:24" ht="27" thickBot="1" x14ac:dyDescent="0.35">
      <c r="A7" s="3" t="s">
        <v>2</v>
      </c>
      <c r="B7" s="33" t="s">
        <v>6</v>
      </c>
      <c r="C7" s="34">
        <v>5</v>
      </c>
      <c r="D7" s="6">
        <f>IF(B7="E",VLOOKUP(C7,$Q$6:$R$24,2),VLOOKUP(C7,$T$6:$U$24,2))</f>
        <v>4</v>
      </c>
      <c r="F7" s="99" t="s">
        <v>24</v>
      </c>
      <c r="G7" s="100" t="str">
        <f>IF(OR(C6&gt;4,C8&gt;4),"Ja","Nein")</f>
        <v>Ja</v>
      </c>
      <c r="I7" s="54">
        <f>IF(G7="Ja",0,1)</f>
        <v>0</v>
      </c>
      <c r="J7" s="54"/>
      <c r="K7" s="55">
        <f t="shared" si="0"/>
        <v>0</v>
      </c>
      <c r="L7" s="55">
        <f t="shared" si="1"/>
        <v>0</v>
      </c>
      <c r="M7" s="55">
        <f t="shared" si="2"/>
        <v>0</v>
      </c>
      <c r="N7" s="55">
        <f t="shared" si="3"/>
        <v>0</v>
      </c>
      <c r="O7" s="56"/>
      <c r="P7" s="59"/>
      <c r="Q7" s="60"/>
      <c r="R7" s="60"/>
      <c r="S7" s="59"/>
      <c r="T7" s="60"/>
      <c r="U7" s="60"/>
      <c r="V7" s="61"/>
      <c r="W7" s="60"/>
      <c r="X7" s="60"/>
    </row>
    <row r="8" spans="1:24" ht="27" thickBot="1" x14ac:dyDescent="0.35">
      <c r="A8" s="3" t="s">
        <v>3</v>
      </c>
      <c r="B8" s="33" t="s">
        <v>6</v>
      </c>
      <c r="C8" s="34">
        <v>5</v>
      </c>
      <c r="D8" s="6">
        <f>IF(B8="E",VLOOKUP(C8,$Q$6:$R$24,2),VLOOKUP(C8,$T$6:$U$24,2))</f>
        <v>4</v>
      </c>
      <c r="I8" s="54"/>
      <c r="J8" s="54"/>
      <c r="K8" s="55">
        <f t="shared" si="0"/>
        <v>0</v>
      </c>
      <c r="L8" s="55">
        <f t="shared" si="1"/>
        <v>0</v>
      </c>
      <c r="M8" s="55">
        <f t="shared" si="2"/>
        <v>0</v>
      </c>
      <c r="N8" s="55">
        <f t="shared" si="3"/>
        <v>0</v>
      </c>
      <c r="O8" s="56"/>
      <c r="P8" s="59">
        <v>0.06</v>
      </c>
      <c r="Q8" s="60">
        <v>1</v>
      </c>
      <c r="R8" s="60">
        <v>6</v>
      </c>
      <c r="S8" s="59">
        <v>0.06</v>
      </c>
      <c r="T8" s="60">
        <v>1</v>
      </c>
      <c r="U8" s="60">
        <v>6</v>
      </c>
      <c r="V8" s="61">
        <v>0.16</v>
      </c>
      <c r="W8" s="60">
        <v>1</v>
      </c>
      <c r="X8" s="60">
        <v>5</v>
      </c>
    </row>
    <row r="9" spans="1:24" x14ac:dyDescent="0.3">
      <c r="A9" s="3" t="s">
        <v>4</v>
      </c>
      <c r="B9" s="33" t="s">
        <v>6</v>
      </c>
      <c r="C9" s="34">
        <v>5</v>
      </c>
      <c r="D9" s="6">
        <f>IF(B9="E",VLOOKUP(C9,$Q$6:$R$24,2),VLOOKUP(C9,$T$6:$U$24,2))</f>
        <v>4</v>
      </c>
      <c r="F9" s="90" t="s">
        <v>44</v>
      </c>
      <c r="G9" s="81" t="str">
        <f>IF(I9=0,"JA :)","Nein :(")</f>
        <v>JA :)</v>
      </c>
      <c r="H9" s="17" t="str">
        <f>I9&amp; TEXT(" Baustellen",0)</f>
        <v>0 Baustellen</v>
      </c>
      <c r="I9" s="62">
        <f>SUM(I5:I7)+SUM(I10:I11)</f>
        <v>0</v>
      </c>
      <c r="J9" s="54"/>
      <c r="K9" s="55">
        <f t="shared" si="0"/>
        <v>0</v>
      </c>
      <c r="L9" s="55">
        <f t="shared" si="1"/>
        <v>0</v>
      </c>
      <c r="M9" s="55">
        <f t="shared" si="2"/>
        <v>0</v>
      </c>
      <c r="N9" s="55">
        <f t="shared" si="3"/>
        <v>0</v>
      </c>
      <c r="O9" s="56"/>
      <c r="P9" s="59"/>
      <c r="Q9" s="60"/>
      <c r="R9" s="60"/>
      <c r="S9" s="59"/>
      <c r="T9" s="60"/>
      <c r="U9" s="60"/>
      <c r="V9" s="61"/>
      <c r="W9" s="60"/>
      <c r="X9" s="60"/>
    </row>
    <row r="10" spans="1:24" x14ac:dyDescent="0.3">
      <c r="A10" s="3" t="s">
        <v>21</v>
      </c>
      <c r="B10" s="33" t="s">
        <v>6</v>
      </c>
      <c r="C10" s="34">
        <v>5</v>
      </c>
      <c r="D10" s="6">
        <f>IF(B10="E",VLOOKUP(C10,$Q$6:$R$24,2),VLOOKUP(C10,$T$6:$U$24,2))</f>
        <v>4</v>
      </c>
      <c r="F10" s="91" t="s">
        <v>22</v>
      </c>
      <c r="G10" s="92" t="str">
        <f>IF($C$23&gt;63,"Ja","nein")</f>
        <v>Ja</v>
      </c>
      <c r="I10" s="54">
        <f>IF(G10="Ja",0,1)</f>
        <v>0</v>
      </c>
      <c r="J10" s="54"/>
      <c r="K10" s="55">
        <f t="shared" si="0"/>
        <v>0</v>
      </c>
      <c r="L10" s="55">
        <f t="shared" si="1"/>
        <v>0</v>
      </c>
      <c r="M10" s="55">
        <f t="shared" si="2"/>
        <v>0</v>
      </c>
      <c r="N10" s="55">
        <f t="shared" si="3"/>
        <v>0</v>
      </c>
      <c r="O10" s="56"/>
      <c r="P10" s="59">
        <v>8.5000000000000006E-2</v>
      </c>
      <c r="Q10" s="60">
        <v>2</v>
      </c>
      <c r="R10" s="60">
        <v>6</v>
      </c>
      <c r="S10" s="59">
        <v>0.11</v>
      </c>
      <c r="T10" s="60">
        <v>2</v>
      </c>
      <c r="U10" s="60">
        <v>6</v>
      </c>
      <c r="V10" s="61">
        <v>0.25</v>
      </c>
      <c r="W10" s="60">
        <v>2</v>
      </c>
      <c r="X10" s="60">
        <v>5</v>
      </c>
    </row>
    <row r="11" spans="1:24" ht="27" thickBot="1" x14ac:dyDescent="0.35">
      <c r="A11" s="117" t="s">
        <v>64</v>
      </c>
      <c r="B11" s="118"/>
      <c r="C11" s="35">
        <v>5</v>
      </c>
      <c r="D11" s="7">
        <f>VLOOKUP(C11,$W$6:$X$24,2)</f>
        <v>4</v>
      </c>
      <c r="F11" s="93" t="s">
        <v>23</v>
      </c>
      <c r="G11" s="94" t="str">
        <f>IF($C$24&gt;33,"Ja","nein")</f>
        <v>Ja</v>
      </c>
      <c r="I11" s="54">
        <f>IF(G11="Ja",0,1)</f>
        <v>0</v>
      </c>
      <c r="J11" s="54"/>
      <c r="K11" s="55">
        <f t="shared" si="0"/>
        <v>0</v>
      </c>
      <c r="L11" s="55">
        <f t="shared" si="1"/>
        <v>0</v>
      </c>
      <c r="M11" s="55">
        <f t="shared" si="2"/>
        <v>0</v>
      </c>
      <c r="N11" s="55">
        <f t="shared" si="3"/>
        <v>0</v>
      </c>
      <c r="O11" s="56"/>
      <c r="P11" s="59"/>
      <c r="Q11" s="60"/>
      <c r="R11" s="60"/>
      <c r="S11" s="59"/>
      <c r="T11" s="60"/>
      <c r="U11" s="60"/>
      <c r="V11" s="61"/>
      <c r="W11" s="60"/>
      <c r="X11" s="60"/>
    </row>
    <row r="12" spans="1:24" ht="27" thickBot="1" x14ac:dyDescent="0.35">
      <c r="A12" s="128" t="s">
        <v>69</v>
      </c>
      <c r="B12" s="128"/>
      <c r="C12" s="128"/>
      <c r="D12" s="128"/>
      <c r="I12" s="54"/>
      <c r="J12" s="54"/>
      <c r="K12" s="55"/>
      <c r="L12" s="55"/>
      <c r="M12" s="55"/>
      <c r="N12" s="55"/>
      <c r="O12" s="56"/>
      <c r="P12" s="59">
        <v>0.11</v>
      </c>
      <c r="Q12" s="60">
        <v>3</v>
      </c>
      <c r="R12" s="60">
        <v>6</v>
      </c>
      <c r="S12" s="59">
        <v>0.16</v>
      </c>
      <c r="T12" s="60">
        <v>3</v>
      </c>
      <c r="U12" s="60">
        <v>5</v>
      </c>
      <c r="V12" s="61">
        <v>0.35</v>
      </c>
      <c r="W12" s="60">
        <v>3</v>
      </c>
      <c r="X12" s="60">
        <v>5</v>
      </c>
    </row>
    <row r="13" spans="1:24" x14ac:dyDescent="0.3">
      <c r="A13" s="103" t="s">
        <v>7</v>
      </c>
      <c r="B13" s="110"/>
      <c r="C13" s="106" t="s">
        <v>15</v>
      </c>
      <c r="D13" s="11" t="s">
        <v>16</v>
      </c>
      <c r="F13" s="80" t="s">
        <v>45</v>
      </c>
      <c r="G13" s="81" t="str">
        <f>IF(I13=0,"JA :)","Nein")</f>
        <v>Nein</v>
      </c>
      <c r="H13" s="17" t="str">
        <f>I13&amp; TEXT(" Baustellen",0)</f>
        <v>4 Baustellen</v>
      </c>
      <c r="I13" s="63">
        <f>SUM(I14:I21)+SUM(I5:I7)</f>
        <v>4</v>
      </c>
      <c r="J13" s="54"/>
      <c r="K13" s="55" t="s">
        <v>5</v>
      </c>
      <c r="L13" s="55"/>
      <c r="M13" s="55"/>
      <c r="N13" s="55"/>
      <c r="O13" s="56"/>
      <c r="P13" s="59">
        <v>0.13500000000000001</v>
      </c>
      <c r="Q13" s="60">
        <v>4</v>
      </c>
      <c r="R13" s="60">
        <v>6</v>
      </c>
      <c r="S13" s="59">
        <v>0.30499999999999999</v>
      </c>
      <c r="T13" s="60">
        <v>4</v>
      </c>
      <c r="U13" s="60">
        <v>5</v>
      </c>
      <c r="V13" s="61">
        <v>0.45</v>
      </c>
      <c r="W13" s="60">
        <v>4</v>
      </c>
      <c r="X13" s="60">
        <v>4</v>
      </c>
    </row>
    <row r="14" spans="1:24" x14ac:dyDescent="0.3">
      <c r="A14" s="104" t="s">
        <v>8</v>
      </c>
      <c r="B14" s="109"/>
      <c r="C14" s="107">
        <v>5</v>
      </c>
      <c r="D14" s="8">
        <f t="shared" ref="D14:D21" si="4">VLOOKUP(C14,$W$6:$X$24,2)</f>
        <v>4</v>
      </c>
      <c r="E14" s="15">
        <f>COUNTIF(B6:B10,"E")</f>
        <v>0</v>
      </c>
      <c r="F14" s="82" t="s">
        <v>25</v>
      </c>
      <c r="G14" s="83" t="str">
        <f>IF(E14&gt;1,"ja","nein")</f>
        <v>nein</v>
      </c>
      <c r="H14" s="18"/>
      <c r="I14" s="54">
        <f>IF(G14="Ja",0,1)</f>
        <v>1</v>
      </c>
      <c r="J14" s="54"/>
      <c r="K14" s="55" t="s">
        <v>6</v>
      </c>
      <c r="L14" s="55"/>
      <c r="M14" s="55"/>
      <c r="N14" s="55"/>
      <c r="O14" s="56"/>
      <c r="P14" s="59">
        <v>0.16</v>
      </c>
      <c r="Q14" s="60">
        <v>5</v>
      </c>
      <c r="R14" s="60">
        <v>5</v>
      </c>
      <c r="S14" s="59">
        <v>0.45</v>
      </c>
      <c r="T14" s="60">
        <v>5</v>
      </c>
      <c r="U14" s="60">
        <v>4</v>
      </c>
      <c r="V14" s="61">
        <v>0.5</v>
      </c>
      <c r="W14" s="60">
        <v>5</v>
      </c>
      <c r="X14" s="60">
        <v>4</v>
      </c>
    </row>
    <row r="15" spans="1:24" x14ac:dyDescent="0.3">
      <c r="A15" s="104" t="s">
        <v>9</v>
      </c>
      <c r="B15" s="109"/>
      <c r="C15" s="107">
        <v>5</v>
      </c>
      <c r="D15" s="8">
        <f t="shared" si="4"/>
        <v>4</v>
      </c>
      <c r="F15" s="84" t="s">
        <v>26</v>
      </c>
      <c r="G15" s="85" t="str">
        <f>IF($C$23&gt;89,"Ja","Nein")</f>
        <v>Nein</v>
      </c>
      <c r="H15" s="18" t="str">
        <f>IF(G15="nein",TEXT("Es fehlen ",0) &amp; 90-$C$23 &amp; TEXT(" Punkte",0),"")</f>
        <v>Es fehlen 20 Punkte</v>
      </c>
      <c r="I15" s="54">
        <f>IF(G15="Ja",0,1)</f>
        <v>1</v>
      </c>
      <c r="J15" s="54"/>
      <c r="K15" s="55"/>
      <c r="L15" s="55"/>
      <c r="M15" s="55"/>
      <c r="N15" s="55"/>
      <c r="O15" s="56"/>
      <c r="P15" s="59">
        <v>0.30499999999999999</v>
      </c>
      <c r="Q15" s="60">
        <v>6</v>
      </c>
      <c r="R15" s="64">
        <v>5</v>
      </c>
      <c r="S15" s="59">
        <v>0.52500000000000002</v>
      </c>
      <c r="T15" s="60">
        <v>6</v>
      </c>
      <c r="U15" s="64">
        <v>4</v>
      </c>
      <c r="V15" s="61">
        <v>0.55000000000000004</v>
      </c>
      <c r="W15" s="60">
        <v>6</v>
      </c>
      <c r="X15" s="64">
        <v>4</v>
      </c>
    </row>
    <row r="16" spans="1:24" x14ac:dyDescent="0.3">
      <c r="A16" s="115" t="s">
        <v>63</v>
      </c>
      <c r="B16" s="116"/>
      <c r="C16" s="107">
        <v>5</v>
      </c>
      <c r="D16" s="8">
        <f t="shared" si="4"/>
        <v>4</v>
      </c>
      <c r="F16" s="86" t="s">
        <v>27</v>
      </c>
      <c r="G16" s="87" t="str">
        <f>IF($C$24&gt;47,"Ja","Nein")</f>
        <v>Nein</v>
      </c>
      <c r="H16" s="18" t="str">
        <f>IF(G16="nein",TEXT("Es fehlen ",0) &amp; 48-$C$24  &amp; TEXT(" Punkte",0),"")</f>
        <v>Es fehlen 8 Punkte</v>
      </c>
      <c r="I16" s="54">
        <f>IF(G16="Ja",0,1)</f>
        <v>1</v>
      </c>
      <c r="J16" s="54"/>
      <c r="K16" s="55"/>
      <c r="L16" s="55"/>
      <c r="M16" s="55"/>
      <c r="N16" s="55"/>
      <c r="O16" s="56"/>
      <c r="P16" s="65">
        <v>0.45</v>
      </c>
      <c r="Q16" s="60">
        <v>7</v>
      </c>
      <c r="R16" s="64">
        <v>4</v>
      </c>
      <c r="S16" s="59">
        <v>0.6</v>
      </c>
      <c r="T16" s="60">
        <v>7</v>
      </c>
      <c r="U16" s="64">
        <v>3</v>
      </c>
      <c r="V16" s="66">
        <v>0.6</v>
      </c>
      <c r="W16" s="60">
        <v>7</v>
      </c>
      <c r="X16" s="64">
        <v>3</v>
      </c>
    </row>
    <row r="17" spans="1:24" x14ac:dyDescent="0.3">
      <c r="A17" s="104" t="s">
        <v>10</v>
      </c>
      <c r="B17" s="109"/>
      <c r="C17" s="107">
        <v>5</v>
      </c>
      <c r="D17" s="8">
        <f t="shared" si="4"/>
        <v>4</v>
      </c>
      <c r="E17" s="16">
        <f>COUNTIF($C$6:$C$11,"&lt;7")</f>
        <v>6</v>
      </c>
      <c r="F17" s="84" t="s">
        <v>35</v>
      </c>
      <c r="G17" s="85" t="str">
        <f>IF(E17&gt;0,"Nein","Ja")</f>
        <v>Nein</v>
      </c>
      <c r="H17" s="27" t="str">
        <f>IF(G17="Nein",E17&amp;TEXT("mal Ausfall",0),"")</f>
        <v>6mal Ausfall</v>
      </c>
      <c r="I17" s="54"/>
      <c r="J17" s="54"/>
      <c r="K17" s="55"/>
      <c r="L17" s="55"/>
      <c r="M17" s="55"/>
      <c r="N17" s="55"/>
      <c r="O17" s="56"/>
      <c r="P17" s="65">
        <v>0.52500000000000002</v>
      </c>
      <c r="Q17" s="60">
        <v>8</v>
      </c>
      <c r="R17" s="64">
        <v>4</v>
      </c>
      <c r="S17" s="59">
        <v>0.7</v>
      </c>
      <c r="T17" s="60">
        <v>8</v>
      </c>
      <c r="U17" s="64">
        <v>3</v>
      </c>
      <c r="V17" s="66">
        <v>0.67</v>
      </c>
      <c r="W17" s="60">
        <v>8</v>
      </c>
      <c r="X17" s="64">
        <v>3</v>
      </c>
    </row>
    <row r="18" spans="1:24" x14ac:dyDescent="0.3">
      <c r="A18" s="104" t="s">
        <v>11</v>
      </c>
      <c r="B18" s="109"/>
      <c r="C18" s="107">
        <v>5</v>
      </c>
      <c r="D18" s="8">
        <f t="shared" si="4"/>
        <v>4</v>
      </c>
      <c r="E18" s="16">
        <f>SUM(K6:K11)</f>
        <v>0</v>
      </c>
      <c r="F18" s="86" t="s">
        <v>42</v>
      </c>
      <c r="G18" s="87" t="str">
        <f>IF(E18&gt;0,"Nein","Ja")</f>
        <v>Ja</v>
      </c>
      <c r="H18" s="27" t="str">
        <f>IF(G18="Nein",E18&amp;TEXT("mal Ausfall",0),"")</f>
        <v/>
      </c>
      <c r="I18" s="54"/>
      <c r="J18" s="54"/>
      <c r="K18" s="55"/>
      <c r="L18" s="55"/>
      <c r="M18" s="55"/>
      <c r="N18" s="55"/>
      <c r="O18" s="56"/>
      <c r="P18" s="65">
        <v>0.6</v>
      </c>
      <c r="Q18" s="60">
        <v>9</v>
      </c>
      <c r="R18" s="64">
        <v>3</v>
      </c>
      <c r="S18" s="59">
        <v>0.8</v>
      </c>
      <c r="T18" s="60">
        <v>9</v>
      </c>
      <c r="U18" s="64">
        <v>2</v>
      </c>
      <c r="V18" s="66">
        <v>0.74</v>
      </c>
      <c r="W18" s="60">
        <v>9</v>
      </c>
      <c r="X18" s="64">
        <v>3</v>
      </c>
    </row>
    <row r="19" spans="1:24" x14ac:dyDescent="0.3">
      <c r="A19" s="104" t="s">
        <v>12</v>
      </c>
      <c r="B19" s="109"/>
      <c r="C19" s="107">
        <v>5</v>
      </c>
      <c r="D19" s="8">
        <f t="shared" si="4"/>
        <v>4</v>
      </c>
      <c r="E19" s="16">
        <f>COUNTIF($C$14:$C$21,"&lt;4")</f>
        <v>0</v>
      </c>
      <c r="F19" s="86" t="s">
        <v>41</v>
      </c>
      <c r="G19" s="87" t="str">
        <f>IF(COUNTIF($C$14:$C$21,"&lt;4")&gt;0,"Nein","Ja")</f>
        <v>Ja</v>
      </c>
      <c r="H19" s="27" t="str">
        <f>IF(G19="Nein",E19&amp;TEXT("mal Ausfall",0),"")</f>
        <v/>
      </c>
      <c r="I19" s="54"/>
      <c r="J19" s="54"/>
      <c r="K19" s="55"/>
      <c r="L19" s="55"/>
      <c r="M19" s="55"/>
      <c r="N19" s="55"/>
      <c r="O19" s="56"/>
      <c r="P19" s="65">
        <v>0.7</v>
      </c>
      <c r="Q19" s="60">
        <v>10</v>
      </c>
      <c r="R19" s="60">
        <v>3</v>
      </c>
      <c r="S19" s="59">
        <v>0.88</v>
      </c>
      <c r="T19" s="60">
        <v>10</v>
      </c>
      <c r="U19" s="60">
        <v>2</v>
      </c>
      <c r="V19" s="66">
        <v>0.8</v>
      </c>
      <c r="W19" s="60">
        <v>10</v>
      </c>
      <c r="X19" s="60">
        <v>2</v>
      </c>
    </row>
    <row r="20" spans="1:24" x14ac:dyDescent="0.3">
      <c r="A20" s="104" t="s">
        <v>13</v>
      </c>
      <c r="B20" s="109"/>
      <c r="C20" s="107">
        <v>5</v>
      </c>
      <c r="D20" s="8">
        <f t="shared" si="4"/>
        <v>4</v>
      </c>
      <c r="E20" s="16">
        <f>IF(2-COUNTIF(C14:C21,"&gt;6")&lt;0,0,2-COUNTIF(C14:C21,"&gt;6"))</f>
        <v>2</v>
      </c>
      <c r="F20" s="86" t="s">
        <v>36</v>
      </c>
      <c r="G20" s="87" t="str">
        <f>IF(E20=0,"Ja","Nein")</f>
        <v>Nein</v>
      </c>
      <c r="H20" s="27" t="str">
        <f>IF(G20="Nein",E20&amp;TEXT("mal Ausfall",0),"")</f>
        <v>2mal Ausfall</v>
      </c>
      <c r="I20" s="54"/>
      <c r="J20" s="54"/>
      <c r="K20" s="55"/>
      <c r="L20" s="55"/>
      <c r="M20" s="55"/>
      <c r="N20" s="55"/>
      <c r="O20" s="56"/>
      <c r="P20" s="59">
        <v>0.8</v>
      </c>
      <c r="Q20" s="60">
        <v>11</v>
      </c>
      <c r="R20" s="60">
        <v>2</v>
      </c>
      <c r="S20" s="59">
        <v>0.96</v>
      </c>
      <c r="T20" s="60">
        <v>11</v>
      </c>
      <c r="U20" s="60">
        <v>1</v>
      </c>
      <c r="V20" s="61">
        <v>0.85</v>
      </c>
      <c r="W20" s="60">
        <v>11</v>
      </c>
      <c r="X20" s="60">
        <v>2</v>
      </c>
    </row>
    <row r="21" spans="1:24" ht="27" thickBot="1" x14ac:dyDescent="0.35">
      <c r="A21" s="105" t="s">
        <v>14</v>
      </c>
      <c r="B21" s="111"/>
      <c r="C21" s="108">
        <v>5</v>
      </c>
      <c r="D21" s="9">
        <f t="shared" si="4"/>
        <v>4</v>
      </c>
      <c r="E21" s="16">
        <f>SUM(E17:E20)</f>
        <v>8</v>
      </c>
      <c r="F21" s="88" t="s">
        <v>28</v>
      </c>
      <c r="G21" s="89" t="str">
        <f>IF(E21&lt;3,"Ja","Nein")</f>
        <v>Nein</v>
      </c>
      <c r="H21" s="18" t="str">
        <f>IF(G21="Nein",E21 &amp;TEXT("mal Ausfall gesamt",0),"")</f>
        <v>8mal Ausfall gesamt</v>
      </c>
      <c r="I21" s="54">
        <f>IF(G21="Ja",0,1)</f>
        <v>1</v>
      </c>
      <c r="J21" s="54"/>
      <c r="K21" s="55"/>
      <c r="L21" s="55"/>
      <c r="M21" s="55"/>
      <c r="N21" s="55"/>
      <c r="O21" s="56"/>
      <c r="P21" s="59">
        <v>0.88</v>
      </c>
      <c r="Q21" s="60">
        <v>12</v>
      </c>
      <c r="R21" s="60">
        <v>2</v>
      </c>
      <c r="S21" s="59">
        <v>1</v>
      </c>
      <c r="T21" s="60">
        <v>12</v>
      </c>
      <c r="U21" s="60">
        <v>1</v>
      </c>
      <c r="V21" s="61">
        <v>0.9</v>
      </c>
      <c r="W21" s="60">
        <v>12</v>
      </c>
      <c r="X21" s="60">
        <v>2</v>
      </c>
    </row>
    <row r="22" spans="1:24" ht="27" thickBot="1" x14ac:dyDescent="0.35">
      <c r="I22" s="54"/>
      <c r="J22" s="54"/>
      <c r="K22" s="55"/>
      <c r="L22" s="55"/>
      <c r="M22" s="55"/>
      <c r="N22" s="55"/>
      <c r="O22" s="56"/>
      <c r="P22" s="59">
        <v>0.96</v>
      </c>
      <c r="Q22" s="60">
        <v>13</v>
      </c>
      <c r="R22" s="60">
        <v>1</v>
      </c>
      <c r="S22" s="59"/>
      <c r="T22" s="61"/>
      <c r="U22" s="61"/>
      <c r="V22" s="61">
        <v>0.96</v>
      </c>
      <c r="W22" s="60">
        <v>13</v>
      </c>
      <c r="X22" s="60">
        <v>1</v>
      </c>
    </row>
    <row r="23" spans="1:24" x14ac:dyDescent="0.3">
      <c r="A23" s="19" t="s">
        <v>39</v>
      </c>
      <c r="B23" s="20"/>
      <c r="C23" s="21">
        <f>SUM(C6:C21)</f>
        <v>70</v>
      </c>
      <c r="D23" s="22"/>
      <c r="F23" s="67" t="s">
        <v>46</v>
      </c>
      <c r="G23" s="68" t="str">
        <f>IF(I23&lt;=0,"JA :)","Nein")</f>
        <v>Nein</v>
      </c>
      <c r="H23" s="17" t="str">
        <f>I23&amp; TEXT(" Baustellen",0)</f>
        <v>4 Baustellen</v>
      </c>
      <c r="I23" s="62">
        <f>SUM(I5:I7)+SUM(I24:I32)</f>
        <v>4</v>
      </c>
      <c r="J23" s="54"/>
      <c r="K23" s="55"/>
      <c r="L23" s="55"/>
      <c r="M23" s="55"/>
      <c r="N23" s="55"/>
      <c r="O23" s="56"/>
      <c r="P23" s="59">
        <v>0.98</v>
      </c>
      <c r="Q23" s="60">
        <v>14</v>
      </c>
      <c r="R23" s="60">
        <v>1</v>
      </c>
      <c r="S23" s="59"/>
      <c r="T23" s="61"/>
      <c r="U23" s="61"/>
      <c r="V23" s="61">
        <v>0.98</v>
      </c>
      <c r="W23" s="60">
        <v>14</v>
      </c>
      <c r="X23" s="60">
        <v>1</v>
      </c>
    </row>
    <row r="24" spans="1:24" ht="27" thickBot="1" x14ac:dyDescent="0.35">
      <c r="A24" s="23" t="s">
        <v>40</v>
      </c>
      <c r="B24" s="24"/>
      <c r="C24" s="25">
        <f>SUM(C14:C21)</f>
        <v>40</v>
      </c>
      <c r="D24" s="26"/>
      <c r="F24" s="69" t="s">
        <v>29</v>
      </c>
      <c r="G24" s="70" t="str">
        <f>IF(AND(COUNTIF(B6:B10,"E")&gt;2,COUNTIF(B6:B8,"E")&gt;1),"Ja","Nein")</f>
        <v>Nein</v>
      </c>
      <c r="I24" s="54">
        <f>IF(G24="Ja",0,1)</f>
        <v>1</v>
      </c>
      <c r="J24" s="54"/>
      <c r="K24" s="55"/>
      <c r="L24" s="55"/>
      <c r="M24" s="55"/>
      <c r="N24" s="55"/>
      <c r="O24" s="56"/>
      <c r="P24" s="59">
        <v>1</v>
      </c>
      <c r="Q24" s="60">
        <v>15</v>
      </c>
      <c r="R24" s="60">
        <v>1</v>
      </c>
      <c r="S24" s="59"/>
      <c r="T24" s="61"/>
      <c r="U24" s="61"/>
      <c r="V24" s="61">
        <v>1</v>
      </c>
      <c r="W24" s="60">
        <v>15</v>
      </c>
      <c r="X24" s="60">
        <v>1</v>
      </c>
    </row>
    <row r="25" spans="1:24" x14ac:dyDescent="0.3">
      <c r="A25" s="40"/>
      <c r="F25" s="71" t="s">
        <v>30</v>
      </c>
      <c r="G25" s="72" t="str">
        <f>IF($C$23&gt;119,"Ja","Nein")</f>
        <v>Nein</v>
      </c>
      <c r="H25" s="18" t="str">
        <f>IF(G25="nein",TEXT("Es fehlen ",0) &amp; 120-$C$23 &amp; TEXT(" Punkte",0),"")</f>
        <v>Es fehlen 50 Punkte</v>
      </c>
      <c r="I25" s="54">
        <f>IF(G25="Ja",0,1)</f>
        <v>1</v>
      </c>
      <c r="J25" s="54"/>
      <c r="K25" s="55"/>
      <c r="L25" s="55"/>
      <c r="M25" s="55"/>
      <c r="N25" s="55"/>
      <c r="O25" s="56"/>
      <c r="P25" s="15"/>
      <c r="Q25" s="15"/>
      <c r="R25" s="15"/>
      <c r="S25" s="15"/>
      <c r="T25" s="15"/>
      <c r="U25" s="15"/>
      <c r="V25" s="15"/>
      <c r="W25" s="15"/>
      <c r="X25" s="15"/>
    </row>
    <row r="26" spans="1:24" x14ac:dyDescent="0.3">
      <c r="A26" s="120" t="s">
        <v>67</v>
      </c>
      <c r="B26" s="120"/>
      <c r="C26" s="121"/>
      <c r="D26" s="122"/>
      <c r="F26" s="73" t="s">
        <v>31</v>
      </c>
      <c r="G26" s="74" t="str">
        <f>IF($C$24&gt;63,"Ja","Nein")</f>
        <v>Nein</v>
      </c>
      <c r="H26" s="18" t="str">
        <f>IF(G26="nein",TEXT("Es fehlen ",0) &amp; 64-$C$24  &amp; TEXT(" Punkte",0),"")</f>
        <v>Es fehlen 24 Punkte</v>
      </c>
      <c r="I26" s="54">
        <f>IF(G26="Ja",0,1)</f>
        <v>1</v>
      </c>
      <c r="J26" s="54"/>
      <c r="K26" s="55"/>
      <c r="L26" s="55"/>
      <c r="M26" s="55"/>
      <c r="N26" s="55"/>
      <c r="O26" s="56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3">
      <c r="A27" s="40" t="s">
        <v>66</v>
      </c>
      <c r="E27" s="16">
        <f>COUNTIF($C$6:$C$11,"&lt;9")</f>
        <v>6</v>
      </c>
      <c r="F27" s="71" t="s">
        <v>34</v>
      </c>
      <c r="G27" s="72" t="str">
        <f>IF(E27&gt;0,"Nein","Ja")</f>
        <v>Nein</v>
      </c>
      <c r="H27" s="27" t="str">
        <f>IF(G27="Nein",E27&amp;TEXT("mal Ausfall",0),"")</f>
        <v>6mal Ausfall</v>
      </c>
      <c r="I27" s="54"/>
      <c r="J27" s="54"/>
      <c r="K27" s="55"/>
      <c r="L27" s="55"/>
      <c r="M27" s="55"/>
      <c r="N27" s="55"/>
      <c r="O27" s="56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3">
      <c r="A28" s="49"/>
      <c r="B28" s="47"/>
      <c r="C28" s="47"/>
      <c r="D28" s="47"/>
      <c r="E28" s="16">
        <f>IF(SUM(M6:M11)&gt;0,0,1)</f>
        <v>1</v>
      </c>
      <c r="F28" s="75" t="s">
        <v>32</v>
      </c>
      <c r="G28" s="76" t="str">
        <f>IF(E28=0,"Ja","Nein")</f>
        <v>Nein</v>
      </c>
      <c r="H28" s="27" t="str">
        <f>IF(G28="Nein",E28 &amp;TEXT("mal Ausfall",0),"")</f>
        <v>1mal Ausfall</v>
      </c>
      <c r="I28" s="54"/>
      <c r="J28" s="54"/>
      <c r="K28" s="55"/>
      <c r="L28" s="55"/>
      <c r="M28" s="55"/>
      <c r="N28" s="55"/>
      <c r="O28" s="56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3">
      <c r="A29" s="113" t="s">
        <v>68</v>
      </c>
      <c r="B29" s="47"/>
      <c r="C29" s="47"/>
      <c r="D29" s="47"/>
      <c r="E29" s="16">
        <f>SUM(L6:L11)</f>
        <v>0</v>
      </c>
      <c r="F29" s="75" t="s">
        <v>49</v>
      </c>
      <c r="G29" s="76" t="str">
        <f>IF(E29&gt;0,"Nein","Ja")</f>
        <v>Ja</v>
      </c>
      <c r="H29" s="27" t="str">
        <f>IF(G29="Nein",E29&amp;TEXT("mal Ausfall",0),"")</f>
        <v/>
      </c>
      <c r="I29" s="54"/>
      <c r="J29" s="54"/>
      <c r="K29" s="55"/>
      <c r="L29" s="55"/>
      <c r="M29" s="55"/>
      <c r="N29" s="55"/>
      <c r="O29" s="56"/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3">
      <c r="A30" s="127"/>
      <c r="B30" s="127"/>
      <c r="C30" s="127"/>
      <c r="D30" s="127"/>
      <c r="E30" s="16">
        <f>COUNTIF($C$14:$C$21,"&lt;4")</f>
        <v>0</v>
      </c>
      <c r="F30" s="75" t="s">
        <v>33</v>
      </c>
      <c r="G30" s="76" t="str">
        <f>IF(E30&gt;0,"Nein","Ja")</f>
        <v>Ja</v>
      </c>
      <c r="H30" s="27" t="str">
        <f>IF(G30="Nein",E30&amp;TEXT("mal Ausfall",0),"")</f>
        <v/>
      </c>
      <c r="I30" s="54"/>
      <c r="J30" s="54"/>
      <c r="K30" s="55"/>
      <c r="L30" s="55"/>
      <c r="M30" s="55"/>
      <c r="N30" s="55"/>
      <c r="O30" s="56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3">
      <c r="A31" s="127"/>
      <c r="B31" s="127"/>
      <c r="C31" s="127"/>
      <c r="D31" s="127"/>
      <c r="E31" s="16">
        <f>IF(AND(SUM(M6:M10)=0,SUM(N6:N10)&gt;0),-1,0)</f>
        <v>0</v>
      </c>
      <c r="F31" s="77" t="s">
        <v>53</v>
      </c>
      <c r="G31" s="76" t="str">
        <f>IF(E31=-1,"Ja","n.r.")</f>
        <v>n.r.</v>
      </c>
      <c r="H31" s="27" t="str">
        <f>IF(G31="Ja",TEXT("-1  Ausfall",0),"")</f>
        <v/>
      </c>
      <c r="I31" s="54"/>
      <c r="J31" s="54"/>
      <c r="K31" s="55"/>
      <c r="L31" s="55"/>
      <c r="M31" s="55"/>
      <c r="N31" s="55"/>
      <c r="O31" s="56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27" thickBot="1" x14ac:dyDescent="0.35">
      <c r="A32" s="127"/>
      <c r="B32" s="127"/>
      <c r="C32" s="127"/>
      <c r="D32" s="127"/>
      <c r="E32" s="16">
        <f>SUM(E27:E31)</f>
        <v>7</v>
      </c>
      <c r="F32" s="78" t="s">
        <v>52</v>
      </c>
      <c r="G32" s="79" t="str">
        <f>IF(E32&lt;3,"Ja","Nein")</f>
        <v>Nein</v>
      </c>
      <c r="H32" s="18" t="str">
        <f>IF(G32="Nein",E32 &amp;TEXT("mal Ausfall gesamt",0),"")</f>
        <v>7mal Ausfall gesamt</v>
      </c>
      <c r="I32" s="54">
        <f>IF(G32="Ja",0,1)</f>
        <v>1</v>
      </c>
      <c r="J32" s="54"/>
      <c r="K32" s="55"/>
      <c r="L32" s="55"/>
      <c r="M32" s="55"/>
      <c r="N32" s="55"/>
      <c r="O32" s="56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3">
      <c r="A33" s="114" t="s">
        <v>56</v>
      </c>
      <c r="E33" s="16"/>
      <c r="I33" s="54"/>
      <c r="J33" s="54"/>
      <c r="K33" s="55"/>
      <c r="L33" s="55"/>
      <c r="M33" s="55"/>
      <c r="N33" s="55"/>
      <c r="O33" s="56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3">
      <c r="A34" s="127"/>
      <c r="B34" s="127"/>
      <c r="C34" s="127"/>
      <c r="D34" s="127"/>
      <c r="E34" s="127"/>
      <c r="F34" s="127"/>
      <c r="G34" s="127"/>
      <c r="I34" s="54"/>
      <c r="J34" s="54"/>
      <c r="K34" s="55"/>
      <c r="L34" s="55"/>
      <c r="M34" s="55"/>
      <c r="N34" s="55"/>
      <c r="O34" s="56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3">
      <c r="A35" s="127"/>
      <c r="B35" s="127"/>
      <c r="C35" s="127"/>
      <c r="D35" s="127"/>
      <c r="E35" s="127"/>
      <c r="F35" s="127"/>
      <c r="G35" s="127"/>
    </row>
    <row r="36" spans="1:24" x14ac:dyDescent="0.3">
      <c r="A36" s="126"/>
      <c r="B36" s="126"/>
      <c r="C36" s="126"/>
      <c r="D36" s="126"/>
      <c r="E36" s="126"/>
      <c r="F36" s="126"/>
      <c r="G36" s="126"/>
    </row>
    <row r="37" spans="1:24" x14ac:dyDescent="0.3">
      <c r="A37" t="s">
        <v>57</v>
      </c>
      <c r="D37" t="s">
        <v>58</v>
      </c>
      <c r="G37" s="48" t="s">
        <v>59</v>
      </c>
    </row>
    <row r="38" spans="1:24" x14ac:dyDescent="0.3">
      <c r="G38" s="13" t="s">
        <v>60</v>
      </c>
    </row>
    <row r="39" spans="1:24" x14ac:dyDescent="0.3">
      <c r="A39" s="41"/>
      <c r="B39" s="41"/>
      <c r="C39" s="41"/>
      <c r="D39" s="41"/>
      <c r="E39" s="42"/>
      <c r="F39" s="43"/>
      <c r="G39" s="44"/>
      <c r="H39" s="45"/>
    </row>
    <row r="40" spans="1:24" x14ac:dyDescent="0.3">
      <c r="A40" s="41"/>
      <c r="B40" s="41"/>
      <c r="C40" s="41"/>
      <c r="D40" s="41"/>
      <c r="E40" s="42"/>
      <c r="F40" s="43"/>
      <c r="G40" s="44"/>
      <c r="H40" s="45"/>
    </row>
    <row r="41" spans="1:24" x14ac:dyDescent="0.3">
      <c r="A41" s="41"/>
      <c r="B41" s="41"/>
      <c r="C41" s="41"/>
      <c r="D41" s="41"/>
      <c r="E41" s="42"/>
      <c r="F41" s="46"/>
      <c r="G41" s="44"/>
      <c r="H41" s="45"/>
    </row>
    <row r="42" spans="1:24" x14ac:dyDescent="0.3">
      <c r="A42" s="41"/>
      <c r="B42" s="41"/>
      <c r="C42" s="41"/>
      <c r="D42" s="41"/>
      <c r="E42" s="42"/>
      <c r="F42" s="43"/>
      <c r="G42" s="44"/>
      <c r="H42" s="45"/>
    </row>
    <row r="43" spans="1:24" x14ac:dyDescent="0.3">
      <c r="A43" s="41"/>
      <c r="B43" s="41"/>
      <c r="C43" s="41"/>
      <c r="D43" s="41"/>
      <c r="E43" s="42"/>
      <c r="F43" s="43"/>
      <c r="G43" s="44"/>
      <c r="H43" s="45"/>
    </row>
    <row r="44" spans="1:24" x14ac:dyDescent="0.3">
      <c r="A44" s="41"/>
      <c r="B44" s="41"/>
      <c r="C44" s="41"/>
      <c r="D44" s="41"/>
      <c r="E44" s="42"/>
      <c r="F44" s="43"/>
      <c r="G44" s="44"/>
      <c r="H44" s="45"/>
    </row>
    <row r="45" spans="1:24" x14ac:dyDescent="0.3">
      <c r="A45" s="41"/>
      <c r="B45" s="41"/>
      <c r="C45" s="41"/>
      <c r="D45" s="41"/>
      <c r="E45" s="42"/>
      <c r="F45" s="43"/>
      <c r="G45" s="44"/>
      <c r="H45" s="45"/>
    </row>
    <row r="46" spans="1:24" x14ac:dyDescent="0.3">
      <c r="A46" s="41"/>
      <c r="B46" s="41"/>
      <c r="C46" s="41"/>
      <c r="D46" s="41"/>
      <c r="E46" s="42"/>
      <c r="F46" s="43"/>
      <c r="G46" s="44"/>
      <c r="H46" s="45"/>
    </row>
    <row r="47" spans="1:24" x14ac:dyDescent="0.3">
      <c r="A47" s="41"/>
      <c r="B47" s="41"/>
      <c r="C47" s="41"/>
      <c r="D47" s="41"/>
      <c r="E47" s="42"/>
      <c r="F47" s="43"/>
      <c r="G47" s="44"/>
      <c r="H47" s="45"/>
    </row>
    <row r="48" spans="1:24" x14ac:dyDescent="0.3">
      <c r="A48" s="41"/>
      <c r="B48" s="41"/>
      <c r="C48" s="41"/>
      <c r="D48" s="41"/>
      <c r="E48" s="42"/>
      <c r="F48" s="43"/>
      <c r="G48" s="44"/>
      <c r="H48" s="45"/>
    </row>
    <row r="49" spans="1:8" x14ac:dyDescent="0.3">
      <c r="A49" s="41"/>
      <c r="B49" s="41"/>
      <c r="C49" s="41"/>
      <c r="D49" s="41"/>
      <c r="E49" s="42"/>
      <c r="F49" s="43"/>
      <c r="G49" s="44"/>
      <c r="H49" s="45"/>
    </row>
  </sheetData>
  <sheetProtection algorithmName="SHA-512" hashValue="fxEkE198H9B4L55+pK+bpPeNykyMMsQRXzTH6bbyvdNmnhoM67zNJm9xZOyGYM5Cw4tdRd6am9T5FOi2Vp2PyA==" saltValue="tFO97hsqp+/Glcirdwoh7Q==" spinCount="100000" sheet="1" objects="1" scenarios="1" formatCells="0" selectLockedCells="1"/>
  <mergeCells count="8">
    <mergeCell ref="B2:G2"/>
    <mergeCell ref="B3:D3"/>
    <mergeCell ref="A16:B16"/>
    <mergeCell ref="A11:B11"/>
    <mergeCell ref="A30:D32"/>
    <mergeCell ref="C26:D26"/>
    <mergeCell ref="A34:G35"/>
    <mergeCell ref="A12:D12"/>
  </mergeCells>
  <conditionalFormatting sqref="C14:C21">
    <cfRule type="cellIs" dxfId="8" priority="4" operator="lessThan">
      <formula>4</formula>
    </cfRule>
  </conditionalFormatting>
  <conditionalFormatting sqref="D6:D11 D13:D21">
    <cfRule type="cellIs" dxfId="7" priority="7" operator="greaterThan">
      <formula>4</formula>
    </cfRule>
  </conditionalFormatting>
  <conditionalFormatting sqref="G1 G3 G5:G7 G9:G11 G13:G21 G23:G30 G41:G1048576">
    <cfRule type="containsText" dxfId="6" priority="8" operator="containsText" text="ja">
      <formula>NOT(ISERROR(SEARCH("ja",G1)))</formula>
    </cfRule>
    <cfRule type="containsText" dxfId="5" priority="9" operator="containsText" text="nein">
      <formula>NOT(ISERROR(SEARCH("nein",G1)))</formula>
    </cfRule>
  </conditionalFormatting>
  <conditionalFormatting sqref="G1 G3:G33 G39:G1048576">
    <cfRule type="containsText" dxfId="4" priority="2" operator="containsText" text="Ja">
      <formula>NOT(ISERROR(SEARCH("Ja",G1)))</formula>
    </cfRule>
    <cfRule type="containsText" dxfId="3" priority="3" operator="containsText" text="Nein">
      <formula>NOT(ISERROR(SEARCH("Nein",G1)))</formula>
    </cfRule>
  </conditionalFormatting>
  <conditionalFormatting sqref="G32">
    <cfRule type="containsText" dxfId="2" priority="5" operator="containsText" text="ja">
      <formula>NOT(ISERROR(SEARCH("ja",G32)))</formula>
    </cfRule>
    <cfRule type="containsText" dxfId="1" priority="6" operator="containsText" text="nein">
      <formula>NOT(ISERROR(SEARCH("nein",G32)))</formula>
    </cfRule>
  </conditionalFormatting>
  <conditionalFormatting sqref="T13">
    <cfRule type="cellIs" dxfId="0" priority="1" operator="equal">
      <formula>#REF!</formula>
    </cfRule>
  </conditionalFormatting>
  <dataValidations count="1">
    <dataValidation type="list" allowBlank="1" showInputMessage="1" showErrorMessage="1" sqref="B6:B10" xr:uid="{785F7641-8CAC-BE43-9B8B-C73C8900A0B1}">
      <formula1>$K$13:$K$14</formula1>
    </dataValidation>
  </dataValidations>
  <pageMargins left="0.7" right="0.7" top="0.78740157499999996" bottom="0.78740157499999996" header="0.3" footer="0.3"/>
  <pageSetup paperSize="9" scale="57" orientation="portrait" horizontalDpi="0" verticalDpi="0"/>
  <colBreaks count="1" manualBreakCount="1">
    <brk id="8" max="1048575" man="1"/>
  </colBreaks>
  <ignoredErrors>
    <ignoredError sqref="G28:H2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Laufbahnberattung-Jg9</vt:lpstr>
      <vt:lpstr>'Laufbahnberattung-Jg9'!Druckbereich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Weindl</dc:creator>
  <cp:lastModifiedBy>Familie Weindl</cp:lastModifiedBy>
  <cp:lastPrinted>2024-02-21T10:57:56Z</cp:lastPrinted>
  <dcterms:created xsi:type="dcterms:W3CDTF">2023-06-03T11:10:42Z</dcterms:created>
  <dcterms:modified xsi:type="dcterms:W3CDTF">2024-02-27T09:48:06Z</dcterms:modified>
</cp:coreProperties>
</file>